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3\Documents\excel-katsuyo\excel-katsuyo\"/>
    </mc:Choice>
  </mc:AlternateContent>
  <xr:revisionPtr revIDLastSave="0" documentId="8_{4865A822-27F4-4EE9-83C5-DBEE2C319344}" xr6:coauthVersionLast="47" xr6:coauthVersionMax="47" xr10:uidLastSave="{00000000-0000-0000-0000-000000000000}"/>
  <bookViews>
    <workbookView xWindow="-108" yWindow="-108" windowWidth="23256" windowHeight="12576" xr2:uid="{984B706F-B2F1-44AA-8E7B-43883443D5B1}"/>
  </bookViews>
  <sheets>
    <sheet name="Sheet4" sheetId="6" r:id="rId1"/>
    <sheet name="Sheet2 (2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D23" i="6"/>
  <c r="F23" i="6"/>
  <c r="S17" i="6"/>
  <c r="S16" i="6"/>
  <c r="S18" i="6" l="1"/>
  <c r="S14" i="6"/>
  <c r="S13" i="6"/>
  <c r="R15" i="6" l="1"/>
  <c r="S15" i="6" s="1"/>
  <c r="S12" i="6"/>
  <c r="S9" i="6"/>
  <c r="S8" i="6"/>
  <c r="R10" i="6" l="1"/>
  <c r="S10" i="6" s="1"/>
  <c r="I11" i="6"/>
  <c r="E23" i="6" l="1"/>
  <c r="S21" i="6"/>
  <c r="S19" i="6"/>
  <c r="S23" i="6" s="1"/>
  <c r="S20" i="6"/>
  <c r="N8" i="6"/>
  <c r="N10" i="6"/>
  <c r="N11" i="6"/>
  <c r="N12" i="6"/>
  <c r="N13" i="6"/>
  <c r="N14" i="6"/>
  <c r="N15" i="6"/>
  <c r="N16" i="6"/>
  <c r="N17" i="6"/>
  <c r="B5" i="5"/>
  <c r="B7" i="5" s="1"/>
  <c r="F4" i="6" l="1"/>
  <c r="I17" i="6" s="1"/>
  <c r="N23" i="6"/>
  <c r="B9" i="5"/>
  <c r="B8" i="5"/>
  <c r="C7" i="5"/>
  <c r="I7" i="6" l="1"/>
  <c r="I8" i="6"/>
  <c r="I13" i="6" s="1"/>
  <c r="F2" i="5"/>
  <c r="I14" i="6" l="1"/>
  <c r="I15" i="6"/>
  <c r="I21" i="6" l="1"/>
  <c r="I4" i="6" s="1"/>
  <c r="K4" i="6" s="1"/>
  <c r="L4" i="6" s="1"/>
  <c r="M4" i="6" l="1"/>
  <c r="P4" i="6"/>
  <c r="Q4" i="6"/>
  <c r="R4" i="6" l="1"/>
</calcChain>
</file>

<file path=xl/sharedStrings.xml><?xml version="1.0" encoding="utf-8"?>
<sst xmlns="http://schemas.openxmlformats.org/spreadsheetml/2006/main" count="162" uniqueCount="116">
  <si>
    <t>給与所得控除後の金額</t>
    <rPh sb="0" eb="2">
      <t>キュウヨ</t>
    </rPh>
    <rPh sb="2" eb="4">
      <t>ショトク</t>
    </rPh>
    <rPh sb="4" eb="7">
      <t>コウジョゴ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</si>
  <si>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10">
      <t>ゴウケイガク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</si>
  <si>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</si>
  <si>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所得税課税対象額</t>
    <rPh sb="0" eb="3">
      <t>ショトクゼイ</t>
    </rPh>
    <rPh sb="3" eb="8">
      <t>カゼイタイショウガク</t>
    </rPh>
    <phoneticPr fontId="1"/>
  </si>
  <si>
    <t>地震保険料</t>
    <rPh sb="0" eb="5">
      <t>ジシンホケンリョウ</t>
    </rPh>
    <phoneticPr fontId="1"/>
  </si>
  <si>
    <t>旧長期損害保険料</t>
    <rPh sb="0" eb="3">
      <t>キュウチョウキ</t>
    </rPh>
    <rPh sb="3" eb="8">
      <t>ソンガイホケンリョウ</t>
    </rPh>
    <phoneticPr fontId="1"/>
  </si>
  <si>
    <t>地震保険料控除額</t>
    <rPh sb="0" eb="5">
      <t>ジシンホケンリョウ</t>
    </rPh>
    <rPh sb="5" eb="8">
      <t>コウジョガク</t>
    </rPh>
    <phoneticPr fontId="1"/>
  </si>
  <si>
    <t>国民年金保険料</t>
    <rPh sb="0" eb="2">
      <t>コクミン</t>
    </rPh>
    <rPh sb="2" eb="4">
      <t>ネンキン</t>
    </rPh>
    <rPh sb="4" eb="7">
      <t>ホケンリョウ</t>
    </rPh>
    <phoneticPr fontId="1"/>
  </si>
  <si>
    <t>国民年金基金加入者掛金</t>
    <rPh sb="0" eb="2">
      <t>コクミン</t>
    </rPh>
    <rPh sb="2" eb="6">
      <t>ネンキンキキン</t>
    </rPh>
    <rPh sb="6" eb="9">
      <t>カニュウシャ</t>
    </rPh>
    <rPh sb="9" eb="10">
      <t>カ</t>
    </rPh>
    <rPh sb="10" eb="11">
      <t>キン</t>
    </rPh>
    <phoneticPr fontId="1"/>
  </si>
  <si>
    <t>課税される所得金額</t>
    <rPh sb="0" eb="2">
      <t>カゼイ</t>
    </rPh>
    <rPh sb="5" eb="9">
      <t>ショトクキンガク</t>
    </rPh>
    <phoneticPr fontId="1"/>
  </si>
  <si>
    <t>1,000円から1,949,000円まで</t>
    <rPh sb="5" eb="6">
      <t>エン</t>
    </rPh>
    <rPh sb="17" eb="18">
      <t>エン</t>
    </rPh>
    <phoneticPr fontId="1"/>
  </si>
  <si>
    <t>1,950,000円から3,299,000円まで</t>
    <rPh sb="9" eb="10">
      <t>エン</t>
    </rPh>
    <rPh sb="21" eb="22">
      <t>エン</t>
    </rPh>
    <phoneticPr fontId="1"/>
  </si>
  <si>
    <t>40,000,000円以上</t>
    <rPh sb="10" eb="11">
      <t>エン</t>
    </rPh>
    <rPh sb="11" eb="13">
      <t>イジョウ</t>
    </rPh>
    <phoneticPr fontId="1"/>
  </si>
  <si>
    <t>3,300,000円から6,949,000円まで</t>
    <rPh sb="9" eb="10">
      <t>エン</t>
    </rPh>
    <rPh sb="21" eb="22">
      <t>エン</t>
    </rPh>
    <phoneticPr fontId="1"/>
  </si>
  <si>
    <t>6,950,000円から8,999,000円まで</t>
    <rPh sb="9" eb="10">
      <t>エン</t>
    </rPh>
    <rPh sb="21" eb="22">
      <t>エン</t>
    </rPh>
    <phoneticPr fontId="1"/>
  </si>
  <si>
    <t>9,000,000円から17,999,000円まで</t>
    <rPh sb="9" eb="10">
      <t>エン</t>
    </rPh>
    <rPh sb="22" eb="23">
      <t>エン</t>
    </rPh>
    <phoneticPr fontId="1"/>
  </si>
  <si>
    <t>18,000,000円から39,999,000円まで</t>
    <rPh sb="10" eb="11">
      <t>エン</t>
    </rPh>
    <rPh sb="23" eb="24">
      <t>エン</t>
    </rPh>
    <phoneticPr fontId="1"/>
  </si>
  <si>
    <t>税率</t>
    <rPh sb="0" eb="2">
      <t>ゼイリツ</t>
    </rPh>
    <phoneticPr fontId="1"/>
  </si>
  <si>
    <t>控除額</t>
    <rPh sb="0" eb="3">
      <t>コウジョガク</t>
    </rPh>
    <phoneticPr fontId="1"/>
  </si>
  <si>
    <t>扶養家族（同居特別障害）</t>
    <rPh sb="0" eb="4">
      <t>フヨウカゾク</t>
    </rPh>
    <rPh sb="5" eb="7">
      <t>ドウキョ</t>
    </rPh>
    <rPh sb="7" eb="9">
      <t>トクベツ</t>
    </rPh>
    <rPh sb="9" eb="11">
      <t>ショウガイ</t>
    </rPh>
    <phoneticPr fontId="1"/>
  </si>
  <si>
    <t>ふるさと納税寄付可能上限額</t>
    <rPh sb="4" eb="6">
      <t>ノウゼイ</t>
    </rPh>
    <rPh sb="6" eb="8">
      <t>キフ</t>
    </rPh>
    <rPh sb="8" eb="10">
      <t>カノウ</t>
    </rPh>
    <rPh sb="10" eb="13">
      <t>ジョウゲンガク</t>
    </rPh>
    <phoneticPr fontId="1"/>
  </si>
  <si>
    <t>所得税率</t>
    <rPh sb="0" eb="4">
      <t>ショトクゼイリツ</t>
    </rPh>
    <phoneticPr fontId="1"/>
  </si>
  <si>
    <t>寄付可能上限額計算式</t>
    <rPh sb="0" eb="2">
      <t>キフ</t>
    </rPh>
    <rPh sb="2" eb="4">
      <t>カノウ</t>
    </rPh>
    <rPh sb="4" eb="7">
      <t>ジョウゲンガク</t>
    </rPh>
    <rPh sb="7" eb="10">
      <t>ケイサンシキ</t>
    </rPh>
    <phoneticPr fontId="1"/>
  </si>
  <si>
    <t>住民税額</t>
    <rPh sb="0" eb="3">
      <t>ジュウミンゼイ</t>
    </rPh>
    <rPh sb="3" eb="4">
      <t>ガク</t>
    </rPh>
    <phoneticPr fontId="1"/>
  </si>
  <si>
    <t>(所得税率）</t>
    <rPh sb="1" eb="5">
      <t>ショトクゼイリツ</t>
    </rPh>
    <phoneticPr fontId="1"/>
  </si>
  <si>
    <t>給与・賞与支払合計</t>
    <rPh sb="5" eb="7">
      <t>シハライ</t>
    </rPh>
    <rPh sb="7" eb="9">
      <t>ゴウケイ</t>
    </rPh>
    <phoneticPr fontId="1"/>
  </si>
  <si>
    <t>+　2,000円</t>
    <rPh sb="7" eb="8">
      <t>エン</t>
    </rPh>
    <phoneticPr fontId="1"/>
  </si>
  <si>
    <t>表１</t>
    <rPh sb="0" eb="1">
      <t>ヒョウ</t>
    </rPh>
    <phoneticPr fontId="1"/>
  </si>
  <si>
    <t>表２</t>
    <rPh sb="0" eb="1">
      <t>ヒョウ</t>
    </rPh>
    <phoneticPr fontId="1"/>
  </si>
  <si>
    <t>本人または扶養家族（一般障害）</t>
    <rPh sb="0" eb="2">
      <t>ホンニン</t>
    </rPh>
    <rPh sb="5" eb="9">
      <t>フヨウカゾク</t>
    </rPh>
    <rPh sb="10" eb="14">
      <t>イッパンショウガイ</t>
    </rPh>
    <phoneticPr fontId="1"/>
  </si>
  <si>
    <t>本人または扶養家族（特別障害）</t>
    <rPh sb="5" eb="9">
      <t>フヨウカゾク</t>
    </rPh>
    <rPh sb="10" eb="12">
      <t>トクベツ</t>
    </rPh>
    <rPh sb="12" eb="14">
      <t>ショウガイ</t>
    </rPh>
    <phoneticPr fontId="1"/>
  </si>
  <si>
    <t>住民税額 ×</t>
    <rPh sb="0" eb="4">
      <t>ジュウミンゼイガク</t>
    </rPh>
    <phoneticPr fontId="1"/>
  </si>
  <si>
    <t>←源泉徴収票から入力する項目</t>
    <rPh sb="1" eb="6">
      <t>ゲンセンチョウシュウヒョウ</t>
    </rPh>
    <rPh sb="8" eb="10">
      <t>ニュウリョク</t>
    </rPh>
    <rPh sb="12" eb="14">
      <t>コウモク</t>
    </rPh>
    <phoneticPr fontId="1"/>
  </si>
  <si>
    <t>給与</t>
    <rPh sb="0" eb="2">
      <t>キュウヨ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</si>
  <si>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</si>
  <si>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</si>
  <si>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</si>
  <si>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</si>
  <si>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</si>
  <si>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</si>
  <si>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</si>
  <si>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</si>
  <si>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</si>
  <si>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</si>
  <si>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</si>
  <si>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</si>
  <si>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</t>
    <rPh sb="0" eb="2">
      <t>ショウヨ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</si>
  <si>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</si>
  <si>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</si>
  <si>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</si>
  <si>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支払額</t>
    <rPh sb="0" eb="3">
      <t>シハライガク</t>
    </rPh>
    <phoneticPr fontId="1"/>
  </si>
  <si>
    <t>社会保険料</t>
    <rPh sb="0" eb="5">
      <t>シャカイホケンリョウ</t>
    </rPh>
    <phoneticPr fontId="1"/>
  </si>
  <si>
    <t>所得税額</t>
    <rPh sb="0" eb="4">
      <t>ショトクゼイガク</t>
    </rPh>
    <phoneticPr fontId="1"/>
  </si>
  <si>
    <t>介護保険料</t>
    <rPh sb="0" eb="5">
      <t>カイゴホケンリョウ</t>
    </rPh>
    <phoneticPr fontId="1"/>
  </si>
  <si>
    <t>個人年金保険料（新）</t>
    <rPh sb="0" eb="7">
      <t>コジンネンキンホケンリョウ</t>
    </rPh>
    <rPh sb="8" eb="9">
      <t>シン</t>
    </rPh>
    <phoneticPr fontId="1"/>
  </si>
  <si>
    <t>個人年金保険料（旧）</t>
    <rPh sb="0" eb="7">
      <t>コジンネンキンホケンリョウ</t>
    </rPh>
    <rPh sb="8" eb="9">
      <t>キュウ</t>
    </rPh>
    <phoneticPr fontId="1"/>
  </si>
  <si>
    <t>一般保険料（新）</t>
    <rPh sb="0" eb="2">
      <t>イッパン</t>
    </rPh>
    <rPh sb="2" eb="5">
      <t>ホケンリョウ</t>
    </rPh>
    <rPh sb="4" eb="5">
      <t>リョウ</t>
    </rPh>
    <rPh sb="6" eb="7">
      <t>シン</t>
    </rPh>
    <phoneticPr fontId="1"/>
  </si>
  <si>
    <t>一般保険料（旧）</t>
    <rPh sb="0" eb="2">
      <t>イッパン</t>
    </rPh>
    <rPh sb="2" eb="5">
      <t>ホケンリョウ</t>
    </rPh>
    <rPh sb="4" eb="5">
      <t>リョウ</t>
    </rPh>
    <rPh sb="6" eb="7">
      <t>キュウ</t>
    </rPh>
    <phoneticPr fontId="1"/>
  </si>
  <si>
    <t>一般保険料控除額</t>
    <rPh sb="0" eb="5">
      <t>イッパンホケンリョウ</t>
    </rPh>
    <rPh sb="5" eb="8">
      <t>コウジョガク</t>
    </rPh>
    <phoneticPr fontId="1"/>
  </si>
  <si>
    <t>介護保険料控除額</t>
    <rPh sb="0" eb="5">
      <t>カイゴホケンリョウ</t>
    </rPh>
    <rPh sb="5" eb="8">
      <t>コウジョガク</t>
    </rPh>
    <phoneticPr fontId="1"/>
  </si>
  <si>
    <t>年金保険料控除額</t>
    <rPh sb="0" eb="5">
      <t>ネンキンホケンリョウ</t>
    </rPh>
    <rPh sb="5" eb="8">
      <t>コウジョガク</t>
    </rPh>
    <phoneticPr fontId="1"/>
  </si>
  <si>
    <t>扶養等控除</t>
    <rPh sb="0" eb="2">
      <t>フヨウ</t>
    </rPh>
    <rPh sb="2" eb="3">
      <t>トウ</t>
    </rPh>
    <rPh sb="3" eb="5">
      <t>コウジョ</t>
    </rPh>
    <phoneticPr fontId="1"/>
  </si>
  <si>
    <t>扶養（15歳以下）</t>
    <rPh sb="0" eb="2">
      <t>フヨウ</t>
    </rPh>
    <rPh sb="5" eb="6">
      <t>サイ</t>
    </rPh>
    <rPh sb="6" eb="8">
      <t>イカ</t>
    </rPh>
    <phoneticPr fontId="1"/>
  </si>
  <si>
    <t>扶養（16歳～18歳）</t>
    <rPh sb="0" eb="2">
      <t>フヨウ</t>
    </rPh>
    <rPh sb="5" eb="6">
      <t>サイ</t>
    </rPh>
    <rPh sb="9" eb="10">
      <t>サイ</t>
    </rPh>
    <phoneticPr fontId="1"/>
  </si>
  <si>
    <t>扶養（23歳～69歳）</t>
    <rPh sb="0" eb="2">
      <t>フヨウ</t>
    </rPh>
    <rPh sb="5" eb="6">
      <t>サイ</t>
    </rPh>
    <rPh sb="9" eb="10">
      <t>サイ</t>
    </rPh>
    <phoneticPr fontId="1"/>
  </si>
  <si>
    <t>特定扶養（19歳～22歳）</t>
    <rPh sb="0" eb="2">
      <t>トクテイ</t>
    </rPh>
    <rPh sb="2" eb="4">
      <t>フヨウ</t>
    </rPh>
    <rPh sb="7" eb="8">
      <t>サイ</t>
    </rPh>
    <rPh sb="11" eb="12">
      <t>サイ</t>
    </rPh>
    <phoneticPr fontId="1"/>
  </si>
  <si>
    <t>老親扶養（70歳以上・上記以外）</t>
    <rPh sb="0" eb="2">
      <t>ロウシン</t>
    </rPh>
    <rPh sb="2" eb="4">
      <t>フヨウ</t>
    </rPh>
    <rPh sb="7" eb="8">
      <t>サイ</t>
    </rPh>
    <rPh sb="8" eb="10">
      <t>イジョウ</t>
    </rPh>
    <rPh sb="11" eb="13">
      <t>ジョウキ</t>
    </rPh>
    <rPh sb="13" eb="15">
      <t>イガイ</t>
    </rPh>
    <phoneticPr fontId="1"/>
  </si>
  <si>
    <t>同居老親扶養（70歳以上同居の父母・祖父母）</t>
    <rPh sb="0" eb="2">
      <t>ドウキョ</t>
    </rPh>
    <rPh sb="2" eb="4">
      <t>ロウシン</t>
    </rPh>
    <rPh sb="4" eb="6">
      <t>フヨウ</t>
    </rPh>
    <rPh sb="9" eb="10">
      <t>サイ</t>
    </rPh>
    <rPh sb="10" eb="12">
      <t>イジョウ</t>
    </rPh>
    <rPh sb="12" eb="14">
      <t>ドウキョ</t>
    </rPh>
    <rPh sb="15" eb="17">
      <t>フボ</t>
    </rPh>
    <rPh sb="18" eb="21">
      <t>ソフボ</t>
    </rPh>
    <phoneticPr fontId="1"/>
  </si>
  <si>
    <t>控除額</t>
  </si>
  <si>
    <t>2,400万円以下</t>
  </si>
  <si>
    <t>48万円</t>
  </si>
  <si>
    <t>2,400万円超2,450万円以下</t>
  </si>
  <si>
    <t>32万円</t>
  </si>
  <si>
    <t>2,450万円超2,500万円以下</t>
  </si>
  <si>
    <t>16万円</t>
  </si>
  <si>
    <t>2,500万円超</t>
  </si>
  <si>
    <t>０円</t>
  </si>
  <si>
    <t>年間合計</t>
    <rPh sb="0" eb="4">
      <t>ネンカンゴウケイ</t>
    </rPh>
    <phoneticPr fontId="1"/>
  </si>
  <si>
    <t>配偶者の年齢</t>
    <rPh sb="0" eb="3">
      <t>ハイグウシャ</t>
    </rPh>
    <rPh sb="4" eb="6">
      <t>ネンレイ</t>
    </rPh>
    <phoneticPr fontId="1"/>
  </si>
  <si>
    <t>対象</t>
    <rPh sb="0" eb="2">
      <t>タイショウ</t>
    </rPh>
    <phoneticPr fontId="1"/>
  </si>
  <si>
    <t>ひとり親・寡婦</t>
    <rPh sb="3" eb="4">
      <t>オヤ</t>
    </rPh>
    <rPh sb="5" eb="7">
      <t>カフ</t>
    </rPh>
    <phoneticPr fontId="1"/>
  </si>
  <si>
    <t>保険料控除項目</t>
    <rPh sb="0" eb="5">
      <t>ホケンリョウコウジョ</t>
    </rPh>
    <rPh sb="5" eb="7">
      <t>コウモク</t>
    </rPh>
    <phoneticPr fontId="1"/>
  </si>
  <si>
    <t>本人・配偶者関連控除</t>
    <rPh sb="0" eb="2">
      <t>ホンニン</t>
    </rPh>
    <rPh sb="3" eb="8">
      <t>ハイグウシャカンレン</t>
    </rPh>
    <rPh sb="8" eb="10">
      <t>コウジョ</t>
    </rPh>
    <phoneticPr fontId="1"/>
  </si>
  <si>
    <t>扶養関連控除</t>
    <rPh sb="0" eb="2">
      <t>フヨウ</t>
    </rPh>
    <rPh sb="2" eb="4">
      <t>カンレン</t>
    </rPh>
    <rPh sb="4" eb="6">
      <t>コウジョ</t>
    </rPh>
    <phoneticPr fontId="1"/>
  </si>
  <si>
    <t>保険料関連控除</t>
    <rPh sb="0" eb="3">
      <t>ホケンリョウ</t>
    </rPh>
    <rPh sb="3" eb="7">
      <t>カンレンコウジョ</t>
    </rPh>
    <phoneticPr fontId="1"/>
  </si>
  <si>
    <t>保険料</t>
    <rPh sb="0" eb="3">
      <t>ホケンリョウ</t>
    </rPh>
    <phoneticPr fontId="1"/>
  </si>
  <si>
    <t>ー</t>
    <phoneticPr fontId="1"/>
  </si>
  <si>
    <t>保険料控除額合計</t>
    <rPh sb="0" eb="3">
      <t>ホケンリョウ</t>
    </rPh>
    <rPh sb="3" eb="6">
      <t>コウジョガク</t>
    </rPh>
    <rPh sb="6" eb="8">
      <t>ゴウケイ</t>
    </rPh>
    <phoneticPr fontId="1"/>
  </si>
  <si>
    <t>基礎・配偶者控除合計</t>
    <rPh sb="0" eb="2">
      <t>キソ</t>
    </rPh>
    <rPh sb="3" eb="6">
      <t>ハイグウシャ</t>
    </rPh>
    <rPh sb="6" eb="8">
      <t>コウジョ</t>
    </rPh>
    <rPh sb="8" eb="10">
      <t>ゴウケイ</t>
    </rPh>
    <phoneticPr fontId="1"/>
  </si>
  <si>
    <t>配偶者の収入</t>
    <rPh sb="0" eb="3">
      <t>ハイグウシャ</t>
    </rPh>
    <rPh sb="4" eb="6">
      <t>シュウニュウ</t>
    </rPh>
    <phoneticPr fontId="1"/>
  </si>
  <si>
    <t>納税者本人の合計所得金額</t>
    <phoneticPr fontId="1"/>
  </si>
  <si>
    <t>給与・賞与支払合計</t>
    <phoneticPr fontId="1"/>
  </si>
  <si>
    <t>給与所得控除後の金額</t>
    <rPh sb="0" eb="7">
      <t>キュウヨショトクコウジョゴ</t>
    </rPh>
    <rPh sb="8" eb="10">
      <t>キンガク</t>
    </rPh>
    <phoneticPr fontId="1"/>
  </si>
  <si>
    <t>所得控除の額の合計</t>
    <rPh sb="0" eb="2">
      <t>ショトク</t>
    </rPh>
    <rPh sb="2" eb="4">
      <t>コウジョ</t>
    </rPh>
    <rPh sb="5" eb="6">
      <t>ガク</t>
    </rPh>
    <rPh sb="7" eb="9">
      <t>ゴウケイ</t>
    </rPh>
    <phoneticPr fontId="1"/>
  </si>
  <si>
    <t>小規模企業共済（iDeCo含む）</t>
  </si>
  <si>
    <t>課税対象額</t>
    <rPh sb="0" eb="5">
      <t>カゼイタイショウガク</t>
    </rPh>
    <phoneticPr fontId="1"/>
  </si>
  <si>
    <t>基礎控除額</t>
  </si>
  <si>
    <t>基礎控除申告書の控除区分Ⅰ</t>
    <rPh sb="0" eb="4">
      <t>キソコウジョ</t>
    </rPh>
    <rPh sb="4" eb="7">
      <t>シンコクショ</t>
    </rPh>
    <rPh sb="8" eb="10">
      <t>コウジョ</t>
    </rPh>
    <rPh sb="10" eb="12">
      <t>クブン</t>
    </rPh>
    <phoneticPr fontId="1"/>
  </si>
  <si>
    <t>区分Ⅰ=Aの配偶者控除の額</t>
    <rPh sb="0" eb="2">
      <t>クブン</t>
    </rPh>
    <rPh sb="6" eb="9">
      <t>ハイグウシャ</t>
    </rPh>
    <rPh sb="9" eb="11">
      <t>コウジョ</t>
    </rPh>
    <rPh sb="12" eb="13">
      <t>ガク</t>
    </rPh>
    <phoneticPr fontId="1"/>
  </si>
  <si>
    <t>区分Ⅰ=Bの配偶者控除の額</t>
    <rPh sb="0" eb="2">
      <t>クブン</t>
    </rPh>
    <rPh sb="6" eb="9">
      <t>ハイグウシャ</t>
    </rPh>
    <rPh sb="9" eb="11">
      <t>コウジョ</t>
    </rPh>
    <rPh sb="12" eb="13">
      <t>ガク</t>
    </rPh>
    <phoneticPr fontId="1"/>
  </si>
  <si>
    <t>区分Ⅰ=Cの配偶者控除の額</t>
    <rPh sb="0" eb="2">
      <t>クブン</t>
    </rPh>
    <rPh sb="6" eb="9">
      <t>ハイグウシャ</t>
    </rPh>
    <rPh sb="9" eb="11">
      <t>コウジョ</t>
    </rPh>
    <rPh sb="12" eb="13">
      <t>ガク</t>
    </rPh>
    <phoneticPr fontId="1"/>
  </si>
  <si>
    <t>配偶者の所得金額</t>
    <rPh sb="0" eb="3">
      <t>ハイグウシャ</t>
    </rPh>
    <rPh sb="4" eb="8">
      <t>ショトクキンガク</t>
    </rPh>
    <phoneticPr fontId="1"/>
  </si>
  <si>
    <t>70歳未満</t>
  </si>
  <si>
    <t>所得金額調整控除</t>
    <phoneticPr fontId="1"/>
  </si>
  <si>
    <t>住民税割額</t>
    <rPh sb="0" eb="3">
      <t>ジュウミンゼイ</t>
    </rPh>
    <rPh sb="3" eb="5">
      <t>ワリガク</t>
    </rPh>
    <phoneticPr fontId="1"/>
  </si>
  <si>
    <t>基礎控除の算出条件</t>
    <rPh sb="0" eb="4">
      <t>キソコウジョ</t>
    </rPh>
    <rPh sb="5" eb="7">
      <t>サンシュツ</t>
    </rPh>
    <rPh sb="7" eb="9">
      <t>ジョウケン</t>
    </rPh>
    <phoneticPr fontId="1"/>
  </si>
  <si>
    <t>扶養等控除額合計</t>
    <rPh sb="0" eb="2">
      <t>フヨウ</t>
    </rPh>
    <rPh sb="2" eb="3">
      <t>トウ</t>
    </rPh>
    <rPh sb="3" eb="6">
      <t>コウジョガク</t>
    </rPh>
    <rPh sb="6" eb="8">
      <t>ゴウケイ</t>
    </rPh>
    <phoneticPr fontId="1"/>
  </si>
  <si>
    <t>ふるさと納税上限額</t>
    <rPh sb="4" eb="6">
      <t>ノウゼイ</t>
    </rPh>
    <rPh sb="6" eb="8">
      <t>ジョウゲン</t>
    </rPh>
    <rPh sb="8" eb="9">
      <t>ガク</t>
    </rPh>
    <phoneticPr fontId="1"/>
  </si>
  <si>
    <t>配偶者</t>
    <rPh sb="0" eb="3">
      <t>ハイグウシャ</t>
    </rPh>
    <phoneticPr fontId="1"/>
  </si>
  <si>
    <t>有</t>
  </si>
  <si>
    <t>所得税還付・追徴額</t>
    <rPh sb="0" eb="3">
      <t>ショトクゼイ</t>
    </rPh>
    <rPh sb="3" eb="5">
      <t>カンプ</t>
    </rPh>
    <rPh sb="6" eb="8">
      <t>ツイチョウ</t>
    </rPh>
    <rPh sb="8" eb="9">
      <t>ガク</t>
    </rPh>
    <phoneticPr fontId="1"/>
  </si>
  <si>
    <t>所得税率の算出条件</t>
    <rPh sb="0" eb="4">
      <t>ショトクゼイリツ</t>
    </rPh>
    <rPh sb="5" eb="7">
      <t>サンシュツ</t>
    </rPh>
    <rPh sb="7" eb="9">
      <t>ジョウケン</t>
    </rPh>
    <phoneticPr fontId="1"/>
  </si>
  <si>
    <t>ふるさと納税上限額算出条件</t>
    <rPh sb="4" eb="6">
      <t>ノウゼイ</t>
    </rPh>
    <rPh sb="6" eb="8">
      <t>ジョウゲン</t>
    </rPh>
    <rPh sb="8" eb="9">
      <t>ガク</t>
    </rPh>
    <rPh sb="9" eb="11">
      <t>サンシュツ</t>
    </rPh>
    <rPh sb="11" eb="13">
      <t>ジョウケン</t>
    </rPh>
    <phoneticPr fontId="1"/>
  </si>
  <si>
    <t>住宅ローン控除額</t>
    <rPh sb="0" eb="2">
      <t>ジュウタク</t>
    </rPh>
    <rPh sb="5" eb="7">
      <t>コウジョ</t>
    </rPh>
    <rPh sb="7" eb="8">
      <t>ガク</t>
    </rPh>
    <phoneticPr fontId="1"/>
  </si>
  <si>
    <t>適用所得税率</t>
    <rPh sb="0" eb="2">
      <t>テキヨウ</t>
    </rPh>
    <rPh sb="2" eb="6">
      <t>ショトクゼイリツ</t>
    </rPh>
    <phoneticPr fontId="1"/>
  </si>
  <si>
    <t>2023年版　年末調整シミュレーションシート</t>
    <rPh sb="4" eb="5">
      <t>ネン</t>
    </rPh>
    <rPh sb="5" eb="6">
      <t>バン</t>
    </rPh>
    <rPh sb="7" eb="11">
      <t>ネンマツチョウセイ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</si>
</sst>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#,##0&quot;円&quot;"/>
    <numFmt numFmtId="178" formatCode="##0&quot;歳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9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77" fontId="0" fillId="0" borderId="0" xfId="1" applyNumberFormat="1" applyFont="1">
      <alignment vertical="center"/>
    </xf>
    <xf numFmtId="38" fontId="0" fillId="0" borderId="0" xfId="1" applyFont="1" applyFill="1" applyBorder="1">
      <alignment vertical="center"/>
    </xf>
    <xf numFmtId="177" fontId="0" fillId="0" borderId="1" xfId="1" applyNumberFormat="1" applyFont="1" applyBorder="1">
      <alignment vertical="center"/>
    </xf>
    <xf numFmtId="9" fontId="4" fillId="3" borderId="0" xfId="2" applyFont="1" applyFill="1">
      <alignment vertical="center"/>
    </xf>
    <xf numFmtId="0" fontId="4" fillId="3" borderId="0" xfId="0" applyFont="1" applyFill="1">
      <alignment vertical="center"/>
    </xf>
    <xf numFmtId="177" fontId="0" fillId="0" borderId="0" xfId="1" applyNumberFormat="1" applyFont="1" applyBorder="1">
      <alignment vertical="center"/>
    </xf>
    <xf numFmtId="177" fontId="5" fillId="0" borderId="7" xfId="1" applyNumberFormat="1" applyFont="1" applyBorder="1">
      <alignment vertical="center"/>
    </xf>
    <xf numFmtId="176" fontId="0" fillId="0" borderId="6" xfId="0" applyNumberFormat="1" applyBorder="1" applyAlignment="1">
      <alignment horizontal="center" vertical="center"/>
    </xf>
    <xf numFmtId="9" fontId="0" fillId="0" borderId="5" xfId="0" quotePrefix="1" applyNumberFormat="1" applyBorder="1" applyAlignment="1">
      <alignment horizontal="center" vertical="center"/>
    </xf>
    <xf numFmtId="177" fontId="0" fillId="0" borderId="9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177" fontId="0" fillId="0" borderId="8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8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7" xfId="0" applyNumberFormat="1" applyFont="1" applyBorder="1">
      <alignment vertical="center"/>
    </xf>
    <xf numFmtId="0" fontId="6" fillId="0" borderId="1" xfId="0" applyFont="1" applyBorder="1">
      <alignment vertical="center"/>
    </xf>
    <xf numFmtId="177" fontId="6" fillId="0" borderId="28" xfId="0" applyNumberFormat="1" applyFont="1" applyBorder="1">
      <alignment vertical="center"/>
    </xf>
    <xf numFmtId="0" fontId="7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6" fillId="2" borderId="9" xfId="0" applyNumberFormat="1" applyFont="1" applyFill="1" applyBorder="1" applyProtection="1">
      <alignment vertical="center"/>
      <protection locked="0"/>
    </xf>
    <xf numFmtId="177" fontId="6" fillId="2" borderId="22" xfId="0" applyNumberFormat="1" applyFont="1" applyFill="1" applyBorder="1" applyProtection="1">
      <alignment vertical="center"/>
      <protection locked="0"/>
    </xf>
    <xf numFmtId="177" fontId="6" fillId="2" borderId="1" xfId="0" applyNumberFormat="1" applyFont="1" applyFill="1" applyBorder="1" applyProtection="1">
      <alignment vertical="center"/>
      <protection locked="0"/>
    </xf>
    <xf numFmtId="177" fontId="6" fillId="2" borderId="18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177" fontId="6" fillId="6" borderId="29" xfId="0" applyNumberFormat="1" applyFont="1" applyFill="1" applyBorder="1">
      <alignment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25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177" fontId="6" fillId="0" borderId="18" xfId="0" applyNumberFormat="1" applyFont="1" applyBorder="1" applyProtection="1">
      <alignment vertical="center"/>
      <protection locked="0"/>
    </xf>
    <xf numFmtId="178" fontId="6" fillId="2" borderId="18" xfId="0" applyNumberFormat="1" applyFont="1" applyFill="1" applyBorder="1" applyAlignment="1" applyProtection="1">
      <alignment horizontal="center" vertical="center"/>
      <protection locked="0"/>
    </xf>
    <xf numFmtId="178" fontId="6" fillId="0" borderId="18" xfId="0" applyNumberFormat="1" applyFont="1" applyBorder="1" applyProtection="1">
      <alignment vertical="center"/>
      <protection locked="0"/>
    </xf>
    <xf numFmtId="9" fontId="6" fillId="0" borderId="17" xfId="0" applyNumberFormat="1" applyFont="1" applyBorder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9" fontId="6" fillId="0" borderId="27" xfId="0" quotePrefix="1" applyNumberFormat="1" applyFont="1" applyBorder="1" applyAlignment="1">
      <alignment horizontal="center" vertical="center"/>
    </xf>
    <xf numFmtId="9" fontId="6" fillId="0" borderId="19" xfId="0" applyNumberFormat="1" applyFont="1" applyBorder="1">
      <alignment vertical="center"/>
    </xf>
    <xf numFmtId="0" fontId="6" fillId="0" borderId="41" xfId="0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center" vertical="center"/>
    </xf>
    <xf numFmtId="9" fontId="6" fillId="0" borderId="43" xfId="0" quotePrefix="1" applyNumberFormat="1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9" fontId="6" fillId="0" borderId="1" xfId="0" applyNumberFormat="1" applyFont="1" applyBorder="1">
      <alignment vertical="center"/>
    </xf>
    <xf numFmtId="9" fontId="6" fillId="0" borderId="0" xfId="0" applyNumberFormat="1" applyFont="1">
      <alignment vertical="center"/>
    </xf>
    <xf numFmtId="38" fontId="6" fillId="0" borderId="0" xfId="1" applyFont="1" applyFill="1" applyBorder="1">
      <alignment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38" fontId="6" fillId="0" borderId="18" xfId="1" applyFont="1" applyBorder="1">
      <alignment vertical="center"/>
    </xf>
    <xf numFmtId="9" fontId="6" fillId="0" borderId="33" xfId="0" applyNumberFormat="1" applyFont="1" applyBorder="1">
      <alignment vertical="center"/>
    </xf>
    <xf numFmtId="38" fontId="6" fillId="0" borderId="20" xfId="1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6" borderId="27" xfId="0" applyNumberFormat="1" applyFont="1" applyFill="1" applyBorder="1" applyAlignment="1">
      <alignment horizontal="right" vertical="center"/>
    </xf>
    <xf numFmtId="177" fontId="6" fillId="6" borderId="27" xfId="0" applyNumberFormat="1" applyFont="1" applyFill="1" applyBorder="1">
      <alignment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2" borderId="33" xfId="0" applyNumberFormat="1" applyFont="1" applyFill="1" applyBorder="1" applyProtection="1">
      <alignment vertical="center"/>
      <protection locked="0"/>
    </xf>
    <xf numFmtId="177" fontId="6" fillId="2" borderId="20" xfId="0" applyNumberFormat="1" applyFont="1" applyFill="1" applyBorder="1" applyProtection="1">
      <alignment vertical="center"/>
      <protection locked="0"/>
    </xf>
    <xf numFmtId="177" fontId="6" fillId="7" borderId="23" xfId="0" applyNumberFormat="1" applyFont="1" applyFill="1" applyBorder="1">
      <alignment vertical="center"/>
    </xf>
    <xf numFmtId="177" fontId="6" fillId="6" borderId="23" xfId="0" applyNumberFormat="1" applyFont="1" applyFill="1" applyBorder="1">
      <alignment vertical="center"/>
    </xf>
    <xf numFmtId="177" fontId="6" fillId="0" borderId="24" xfId="0" applyNumberFormat="1" applyFont="1" applyBorder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177" fontId="6" fillId="0" borderId="0" xfId="0" applyNumberFormat="1" applyFont="1">
      <alignment vertical="center"/>
    </xf>
    <xf numFmtId="0" fontId="6" fillId="8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6" fillId="0" borderId="33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9" fontId="10" fillId="0" borderId="19" xfId="2" applyFont="1" applyBorder="1" applyProtection="1">
      <alignment vertical="center"/>
    </xf>
    <xf numFmtId="177" fontId="6" fillId="0" borderId="20" xfId="0" applyNumberFormat="1" applyFont="1" applyBorder="1">
      <alignment vertical="center"/>
    </xf>
    <xf numFmtId="177" fontId="6" fillId="9" borderId="29" xfId="0" applyNumberFormat="1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C9D1-1323-42BC-91C1-FBFDCE135A8D}">
  <dimension ref="B1:T43"/>
  <sheetViews>
    <sheetView showGridLines="0" tabSelected="1" topLeftCell="B1" workbookViewId="0">
      <pane ySplit="34" topLeftCell="A43" activePane="bottomLeft" state="frozen"/>
      <selection activeCell="B1" sqref="B1"/>
      <selection pane="bottomLeft" activeCell="I14" sqref="I14"/>
    </sheetView>
  </sheetViews>
  <sheetFormatPr defaultColWidth="9" defaultRowHeight="16.2" x14ac:dyDescent="0.45"/>
  <cols>
    <col min="1" max="1" width="2.59765625" style="19" customWidth="1"/>
    <col min="2" max="2" width="5.59765625" style="19" customWidth="1"/>
    <col min="3" max="3" width="9" style="33"/>
    <col min="4" max="6" width="12.59765625" style="19" customWidth="1"/>
    <col min="7" max="7" width="3.59765625" style="19" customWidth="1"/>
    <col min="8" max="8" width="18.59765625" style="33" customWidth="1"/>
    <col min="9" max="9" width="12.59765625" style="19" customWidth="1"/>
    <col min="10" max="10" width="3.59765625" style="19" customWidth="1"/>
    <col min="11" max="12" width="18.59765625" style="19" customWidth="1"/>
    <col min="13" max="13" width="5.59765625" style="19" customWidth="1"/>
    <col min="14" max="14" width="10.59765625" style="19" customWidth="1"/>
    <col min="15" max="15" width="3.59765625" style="19" customWidth="1"/>
    <col min="16" max="17" width="12.59765625" style="19" customWidth="1"/>
    <col min="18" max="19" width="10.59765625" style="19" customWidth="1"/>
    <col min="20" max="16384" width="9" style="19"/>
  </cols>
  <sheetData>
    <row r="1" spans="2:20" ht="22.2" x14ac:dyDescent="0.45">
      <c r="B1" s="90" t="s">
        <v>115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20" ht="16.8" thickBot="1" x14ac:dyDescent="0.5"/>
    <row r="3" spans="2:20" ht="18.75" customHeight="1" x14ac:dyDescent="0.45">
      <c r="F3" s="98" t="s">
        <v>91</v>
      </c>
      <c r="G3" s="99"/>
      <c r="H3" s="81" t="s">
        <v>92</v>
      </c>
      <c r="I3" s="106" t="s">
        <v>93</v>
      </c>
      <c r="J3" s="106"/>
      <c r="K3" s="82" t="s">
        <v>95</v>
      </c>
      <c r="L3" s="82" t="s">
        <v>2</v>
      </c>
      <c r="M3" s="107" t="s">
        <v>104</v>
      </c>
      <c r="N3" s="108"/>
      <c r="P3" s="84" t="s">
        <v>114</v>
      </c>
      <c r="Q3" s="85" t="s">
        <v>110</v>
      </c>
      <c r="R3" s="86" t="s">
        <v>107</v>
      </c>
    </row>
    <row r="4" spans="2:20" ht="16.8" thickBot="1" x14ac:dyDescent="0.5">
      <c r="F4" s="100">
        <f>$D$23</f>
        <v>7505000</v>
      </c>
      <c r="G4" s="101"/>
      <c r="H4" s="83">
        <f>IF($D$23&gt;8500000,$D$23-1950000,IF($D$23&gt;=6600000,$D$23*0.9-1100000,IF($D$23&gt;=3600000,ROUNDDOWN($D$23/4,-3)*3.2-440000,IF($D$23&gt;=1800000,ROUNDDOWN($D$23/4,-3)*2.8-80000,IF($D$23&gt;=1628000,ROUNDDOWN($D$23/4,-3)*2.4+100000,IF($D$23&gt;=1624000,1074000,IF($D$23&gt;=1622000,1072000,IF($D$23&gt;=1620000,1070000,IF($D$23&gt;=1619000,1069000,IF($D$23&gt;=551000,$D$23-550000,0))))) )))))</f>
        <v>5654500</v>
      </c>
      <c r="I4" s="101">
        <f>SUM($I$21,$N$23,$S$23,$E$23)</f>
        <v>2967452</v>
      </c>
      <c r="J4" s="101"/>
      <c r="K4" s="83">
        <f>ROUNDDOWN($H$4-$I$4,-3)</f>
        <v>2687000</v>
      </c>
      <c r="L4" s="83">
        <f>IF(ROUNDDOWN((IF($K$4&gt;40000000,$K$4*0.45-4796000,IF($K$4&gt;17999000,$K$4*0.4-2796000,IF($K$4&gt;8999000,$K$4*0.33-1536000,IF($K$4&gt;6949000,$K$4*0.23-636000,IF($K$4&gt;3299000,$K$4*0.2-427500,IF($K$4&gt;1949000,$K$4*0.1-97500,$K$4*0.05))))))-$I$23)*1.021,-2)&lt;0,0,ROUNDDOWN((IF($K$4&gt;40000000,$K$4*0.45-4796000,IF($K$4&gt;17999000,$K$4*0.4-2796000,IF($K$4&gt;8999000,$K$4*0.33-1536000,IF($K$4&gt;6949000,$K$4*0.23-636000,IF($K$4&gt;3299000,$K$4*0.2-427500,IF($K$4&gt;1949000,$K$4*0.1-97500,$K$4*0.05))))))-$I$23)*1.021,-2))</f>
        <v>15300</v>
      </c>
      <c r="M4" s="101">
        <f>K4*0.1</f>
        <v>268700</v>
      </c>
      <c r="N4" s="109"/>
      <c r="P4" s="87">
        <f>IF($K$4&gt;40000000,0.45,IF($K$4&gt;17999000,0.4,IF($K$4&gt;8999000,0.33,IF($K$4&gt;6949000,0.23,IF($K$4&gt;3299000,0.2,IF($K$4&gt;1949000,0.1,0.05))))))</f>
        <v>0.1</v>
      </c>
      <c r="Q4" s="83">
        <f>IF($F$23-$L$4&gt;$F$23,$F$23,$F$23-$L$4)</f>
        <v>220838</v>
      </c>
      <c r="R4" s="88">
        <f>ROUNDDOWN($M$4*SUMIF($P$27:$P$33,$P$4,$R$27:$R$33)+2000,-3)</f>
        <v>69000</v>
      </c>
      <c r="T4" s="80"/>
    </row>
    <row r="5" spans="2:20" ht="16.8" thickBot="1" x14ac:dyDescent="0.5"/>
    <row r="6" spans="2:20" ht="20.100000000000001" customHeight="1" thickBot="1" x14ac:dyDescent="0.5">
      <c r="B6" s="91" t="s">
        <v>91</v>
      </c>
      <c r="C6" s="92" t="s">
        <v>91</v>
      </c>
      <c r="D6" s="92"/>
      <c r="E6" s="92"/>
      <c r="F6" s="93"/>
      <c r="H6" s="102" t="s">
        <v>82</v>
      </c>
      <c r="I6" s="103"/>
      <c r="K6" s="102" t="s">
        <v>83</v>
      </c>
      <c r="L6" s="104"/>
      <c r="M6" s="104"/>
      <c r="N6" s="103"/>
      <c r="P6" s="102" t="s">
        <v>84</v>
      </c>
      <c r="Q6" s="104"/>
      <c r="R6" s="104"/>
      <c r="S6" s="103"/>
    </row>
    <row r="7" spans="2:20" ht="19.5" customHeight="1" thickBot="1" x14ac:dyDescent="0.5">
      <c r="B7" s="130"/>
      <c r="C7" s="131"/>
      <c r="D7" s="69" t="s">
        <v>50</v>
      </c>
      <c r="E7" s="69" t="s">
        <v>51</v>
      </c>
      <c r="F7" s="70" t="s">
        <v>52</v>
      </c>
      <c r="H7" s="20" t="s">
        <v>96</v>
      </c>
      <c r="I7" s="21">
        <f>IF($H$4&gt;25000000,0,IF($H$4&gt;24500000,160000,IF($H$4&gt;24000000,320000,480000)))</f>
        <v>480000</v>
      </c>
      <c r="K7" s="94" t="s">
        <v>61</v>
      </c>
      <c r="L7" s="105"/>
      <c r="M7" s="22" t="s">
        <v>79</v>
      </c>
      <c r="N7" s="23" t="s">
        <v>18</v>
      </c>
      <c r="P7" s="94" t="s">
        <v>81</v>
      </c>
      <c r="Q7" s="95"/>
      <c r="R7" s="24" t="s">
        <v>85</v>
      </c>
      <c r="S7" s="25" t="s">
        <v>18</v>
      </c>
    </row>
    <row r="8" spans="2:20" x14ac:dyDescent="0.45">
      <c r="B8" s="135" t="s">
        <v>33</v>
      </c>
      <c r="C8" s="71" t="s">
        <v>34</v>
      </c>
      <c r="D8" s="34"/>
      <c r="E8" s="34"/>
      <c r="F8" s="35"/>
      <c r="H8" s="45" t="s">
        <v>97</v>
      </c>
      <c r="I8" s="23" t="str">
        <f>IF($H$4&lt;=9000000,"A",IF($H$4&lt;=9500000,"B",IF($H$4&lt;=10000000,"C","")))</f>
        <v>A</v>
      </c>
      <c r="K8" s="96" t="s">
        <v>80</v>
      </c>
      <c r="L8" s="97"/>
      <c r="M8" s="38"/>
      <c r="N8" s="21">
        <f>IF($M$8="ひとり親",350000,IF($M$8="寡婦",270000,0))</f>
        <v>0</v>
      </c>
      <c r="P8" s="96" t="s">
        <v>56</v>
      </c>
      <c r="Q8" s="97"/>
      <c r="R8" s="42">
        <v>80000</v>
      </c>
      <c r="S8" s="44">
        <f>IF($R$8&lt;=20000,$R$8,IF($R$8&lt;=40000,ROUNDUP($R$8*0.5,0)+10000,IF($R$8&lt;=80000,ROUNDUP($R$8*0.25,0)+20000,40000)))</f>
        <v>40000</v>
      </c>
    </row>
    <row r="9" spans="2:20" x14ac:dyDescent="0.45">
      <c r="B9" s="133"/>
      <c r="C9" s="20" t="s">
        <v>35</v>
      </c>
      <c r="D9" s="36"/>
      <c r="E9" s="36"/>
      <c r="F9" s="37"/>
      <c r="H9" s="20" t="s">
        <v>108</v>
      </c>
      <c r="I9" s="23" t="s">
        <v>109</v>
      </c>
      <c r="K9" s="96" t="s">
        <v>62</v>
      </c>
      <c r="L9" s="97"/>
      <c r="M9" s="39"/>
      <c r="N9" s="21">
        <v>0</v>
      </c>
      <c r="P9" s="96" t="s">
        <v>57</v>
      </c>
      <c r="Q9" s="97"/>
      <c r="R9" s="42"/>
      <c r="S9" s="44">
        <f>IF($R$9&lt;=25000,$R$9,IF($R$9&lt;=50000,ROUNDUP($R$9*0.5,0)+12500,IF($R$9&lt;=100000,ROUNDUP($R$9*0.25,0)+25000,50000)))</f>
        <v>0</v>
      </c>
    </row>
    <row r="10" spans="2:20" x14ac:dyDescent="0.45">
      <c r="B10" s="133"/>
      <c r="C10" s="20" t="s">
        <v>36</v>
      </c>
      <c r="D10" s="36"/>
      <c r="E10" s="36"/>
      <c r="F10" s="37"/>
      <c r="H10" s="20" t="s">
        <v>89</v>
      </c>
      <c r="I10" s="37">
        <v>900000</v>
      </c>
      <c r="K10" s="96" t="s">
        <v>63</v>
      </c>
      <c r="L10" s="97"/>
      <c r="M10" s="39"/>
      <c r="N10" s="21">
        <f>IF($M10&gt;0,$M10*380000,0)</f>
        <v>0</v>
      </c>
      <c r="P10" s="96" t="s">
        <v>58</v>
      </c>
      <c r="Q10" s="97"/>
      <c r="R10" s="66">
        <f>IF($S$8+$S$9&gt;40000,40000,$S$8+$S$9)</f>
        <v>40000</v>
      </c>
      <c r="S10" s="67">
        <f>IF($R$10&gt;$S$9,$R$10,$S$9)</f>
        <v>40000</v>
      </c>
    </row>
    <row r="11" spans="2:20" x14ac:dyDescent="0.45">
      <c r="B11" s="133"/>
      <c r="C11" s="20" t="s">
        <v>37</v>
      </c>
      <c r="D11" s="36"/>
      <c r="E11" s="36"/>
      <c r="F11" s="37"/>
      <c r="H11" s="20" t="s">
        <v>101</v>
      </c>
      <c r="I11" s="46">
        <f>IF(I10&gt;=8500000,I10-1950000,IF(I10&gt;=6600000,I10*0.9-1100000,IF(I10&gt;=3600000,ROUNDDOWN(I10/4,-3)*3.2-440000,IF(I10&gt;=1800000,ROUNDDOWN(I10/4,-3)*2.8-80000,IF(I10&gt;=1628000,ROUNDDOWN(I10/4,-3)*2.4+100000,IF(I10&gt;=1624000,1074000,IF(I10&gt;=1622000,1072000,IF(I10&gt;=1620000,1070000,IF(I10&gt;=1619000,1069000,IF(I10&gt;=551000,I10-550000,0))))) )))))</f>
        <v>350000</v>
      </c>
      <c r="K11" s="96" t="s">
        <v>65</v>
      </c>
      <c r="L11" s="97"/>
      <c r="M11" s="39">
        <v>1</v>
      </c>
      <c r="N11" s="21">
        <f>IF($M11&gt;0,$M11*630000,0)</f>
        <v>630000</v>
      </c>
      <c r="P11" s="96" t="s">
        <v>53</v>
      </c>
      <c r="Q11" s="97"/>
      <c r="R11" s="42">
        <v>80000</v>
      </c>
      <c r="S11" s="26" t="s">
        <v>86</v>
      </c>
    </row>
    <row r="12" spans="2:20" x14ac:dyDescent="0.45">
      <c r="B12" s="133"/>
      <c r="C12" s="20" t="s">
        <v>38</v>
      </c>
      <c r="D12" s="36"/>
      <c r="E12" s="36"/>
      <c r="F12" s="37"/>
      <c r="H12" s="20" t="s">
        <v>78</v>
      </c>
      <c r="I12" s="47" t="s">
        <v>102</v>
      </c>
      <c r="K12" s="96" t="s">
        <v>64</v>
      </c>
      <c r="L12" s="97"/>
      <c r="M12" s="39"/>
      <c r="N12" s="21">
        <f>IF($M12&gt;0,$M12*380000,0)</f>
        <v>0</v>
      </c>
      <c r="P12" s="96" t="s">
        <v>59</v>
      </c>
      <c r="Q12" s="97"/>
      <c r="R12" s="28" t="s">
        <v>86</v>
      </c>
      <c r="S12" s="68">
        <f>IF($R$11&lt;=20000,$R$11,IF($R$11&lt;=40000,ROUNDUP($R$11*0.5,0)+10000,IF($R$11&lt;=80000,ROUNDUP($R$11*0.25,0)+20000,40000)))</f>
        <v>40000</v>
      </c>
    </row>
    <row r="13" spans="2:20" x14ac:dyDescent="0.45">
      <c r="B13" s="133"/>
      <c r="C13" s="20" t="s">
        <v>39</v>
      </c>
      <c r="D13" s="36"/>
      <c r="E13" s="36"/>
      <c r="F13" s="37"/>
      <c r="H13" s="45" t="s">
        <v>98</v>
      </c>
      <c r="I13" s="46">
        <f>IF($I$8&lt;&gt;"A",0,IF($I$11&gt;1330000,0,IF($I$11&gt;1300000,30000,IF($I$11&gt;1250000,60000,IF($I$11&gt;1200000,110000,IF($I$11&gt;1150000,160000,IF($I$11&gt;1100000,210000,IF($I$11&gt;1050000,260000,IF($I$11&gt;1000000,310000,IF($I$11&gt;950000,360000,IF($I$11&gt;480000,380000,IF(AND($I$12="70歳以上",$I$11&lt;=4800000),480000,380000))))))))))))</f>
        <v>380000</v>
      </c>
      <c r="K13" s="96" t="s">
        <v>67</v>
      </c>
      <c r="L13" s="97"/>
      <c r="M13" s="39"/>
      <c r="N13" s="21">
        <f>IF($M13&gt;0,$M13*580000,0)</f>
        <v>0</v>
      </c>
      <c r="P13" s="96" t="s">
        <v>54</v>
      </c>
      <c r="Q13" s="97"/>
      <c r="R13" s="42">
        <v>80000</v>
      </c>
      <c r="S13" s="44">
        <f>IF($R$13&lt;=20000,$R$13,IF($R$13&lt;=40000,ROUNDUP($R$13*0.5,0)+10000,IF($R$13&lt;=80000,ROUNDUP($R$13*0.25,0)+20000,40000)))</f>
        <v>40000</v>
      </c>
    </row>
    <row r="14" spans="2:20" x14ac:dyDescent="0.45">
      <c r="B14" s="133"/>
      <c r="C14" s="20" t="s">
        <v>40</v>
      </c>
      <c r="D14" s="36"/>
      <c r="E14" s="36"/>
      <c r="F14" s="37"/>
      <c r="H14" s="45" t="s">
        <v>99</v>
      </c>
      <c r="I14" s="46">
        <f>IF($I$8&lt;&gt;"B",0,IF($I$11&gt;1330000,0,IF($I$11&gt;1300000,20000,IF($I$11&gt;1250000,40000,IF($I$11&gt;1200000,80000,IF($I$11&gt;1150000,110000,IF($I$11&gt;1100000,140000,IF($I$11&gt;1050000,180000,IF($I$11&gt;1000000,210000,IF($I$11&gt;950000,240000,IF($I$11&gt;480000,260000,IF(AND($I$12="70歳以上",$I$11&lt;=4800000),320000,260000))))))))))))</f>
        <v>0</v>
      </c>
      <c r="K14" s="96" t="s">
        <v>66</v>
      </c>
      <c r="L14" s="97"/>
      <c r="M14" s="39"/>
      <c r="N14" s="21">
        <f>IF($M14&gt;0,$M14*480000,0)</f>
        <v>0</v>
      </c>
      <c r="P14" s="96" t="s">
        <v>55</v>
      </c>
      <c r="Q14" s="97"/>
      <c r="R14" s="42"/>
      <c r="S14" s="44">
        <f>IF($R$14&lt;=25000,$R$14,IF($R$14&lt;=50000,ROUNDUP($R$14*0.5,0)+12500,IF($R$14&lt;=100000,ROUNDUP($R$14*0.25,0)+25000,50000)))</f>
        <v>0</v>
      </c>
    </row>
    <row r="15" spans="2:20" x14ac:dyDescent="0.45">
      <c r="B15" s="133"/>
      <c r="C15" s="20" t="s">
        <v>41</v>
      </c>
      <c r="D15" s="36"/>
      <c r="E15" s="36"/>
      <c r="F15" s="37"/>
      <c r="H15" s="45" t="s">
        <v>100</v>
      </c>
      <c r="I15" s="46">
        <f>IF($I$8&lt;&gt;"C",0,IF($I$11&gt;1330000,0,IF($I$11&gt;1300000,10000,IF($I$11&gt;1250000,20000,IF($I$11&gt;1200000,40000,IF($I$11&gt;1150000,60000,IF($I$11&gt;1100000,70000,IF($I$11&gt;1050000,90000,IF($I$11&gt;1000000,110000,IF($I$11&gt;950000,120000,IF($I$11&gt;480000,130000,IF(AND($I$12="70歳以上",$I$11&lt;=4800000),160000,130000))))))))))))</f>
        <v>0</v>
      </c>
      <c r="K15" s="96" t="s">
        <v>29</v>
      </c>
      <c r="L15" s="97"/>
      <c r="M15" s="39"/>
      <c r="N15" s="21">
        <f>IF($M15&gt;0,$M15*270000,0)</f>
        <v>0</v>
      </c>
      <c r="P15" s="96" t="s">
        <v>60</v>
      </c>
      <c r="Q15" s="97"/>
      <c r="R15" s="66">
        <f>IF($S$13+$S$14&gt;40000,40000,$S$13+$S$14)</f>
        <v>40000</v>
      </c>
      <c r="S15" s="68">
        <f>IF($R$15&gt;$S$14,$R$15,$S$14)</f>
        <v>40000</v>
      </c>
    </row>
    <row r="16" spans="2:20" x14ac:dyDescent="0.45">
      <c r="B16" s="133"/>
      <c r="C16" s="20" t="s">
        <v>42</v>
      </c>
      <c r="D16" s="36"/>
      <c r="E16" s="36"/>
      <c r="F16" s="37"/>
      <c r="H16" s="20"/>
      <c r="I16" s="27"/>
      <c r="K16" s="96" t="s">
        <v>30</v>
      </c>
      <c r="L16" s="97"/>
      <c r="M16" s="39"/>
      <c r="N16" s="21">
        <f>IF($M$16&gt;0,$M16*400000,0)</f>
        <v>0</v>
      </c>
      <c r="P16" s="96" t="s">
        <v>4</v>
      </c>
      <c r="Q16" s="97"/>
      <c r="R16" s="42">
        <v>3940</v>
      </c>
      <c r="S16" s="44">
        <f>IF($R$16&lt;=50000,$R$16,50000)</f>
        <v>3940</v>
      </c>
    </row>
    <row r="17" spans="2:19" x14ac:dyDescent="0.45">
      <c r="B17" s="133"/>
      <c r="C17" s="20" t="s">
        <v>43</v>
      </c>
      <c r="D17" s="36"/>
      <c r="E17" s="36"/>
      <c r="F17" s="37"/>
      <c r="H17" s="45" t="s">
        <v>103</v>
      </c>
      <c r="I17" s="46">
        <f>IF(AND(SUM($M$9:$M$11,$M$16,$M$17)&gt;0,$F$4&gt;8500000),IF($F$4&gt;10000000,150000,$F$4-8500000),0)</f>
        <v>0</v>
      </c>
      <c r="K17" s="96" t="s">
        <v>19</v>
      </c>
      <c r="L17" s="97"/>
      <c r="M17" s="39"/>
      <c r="N17" s="21">
        <f>IF($M$17&gt;0,$M17*750000,0)</f>
        <v>0</v>
      </c>
      <c r="P17" s="96" t="s">
        <v>5</v>
      </c>
      <c r="Q17" s="97"/>
      <c r="R17" s="42"/>
      <c r="S17" s="44">
        <f>IF(IF($R$17&lt;=10000,$R$17,ROUNDUP($R$17*0.5,0)+5000)&lt;=15000,IF($R$17&lt;=10000,$R$17,ROUNDUP($R$17*0.5,0)+5000),15000)</f>
        <v>0</v>
      </c>
    </row>
    <row r="18" spans="2:19" x14ac:dyDescent="0.45">
      <c r="B18" s="133"/>
      <c r="C18" s="20" t="s">
        <v>44</v>
      </c>
      <c r="D18" s="36"/>
      <c r="E18" s="36"/>
      <c r="F18" s="37"/>
      <c r="H18" s="20"/>
      <c r="I18" s="48"/>
      <c r="K18" s="96"/>
      <c r="L18" s="97"/>
      <c r="M18" s="30"/>
      <c r="N18" s="21"/>
      <c r="P18" s="96" t="s">
        <v>6</v>
      </c>
      <c r="Q18" s="97"/>
      <c r="R18" s="28" t="s">
        <v>86</v>
      </c>
      <c r="S18" s="29">
        <f>IF(($S$16+$S$17)&gt;50000,50000,($S$16+$S$17))</f>
        <v>3940</v>
      </c>
    </row>
    <row r="19" spans="2:19" x14ac:dyDescent="0.45">
      <c r="B19" s="136"/>
      <c r="C19" s="20" t="s">
        <v>45</v>
      </c>
      <c r="D19" s="36"/>
      <c r="E19" s="36"/>
      <c r="F19" s="37"/>
      <c r="H19" s="20"/>
      <c r="I19" s="27"/>
      <c r="K19" s="96"/>
      <c r="L19" s="97"/>
      <c r="M19" s="30"/>
      <c r="N19" s="21"/>
      <c r="P19" s="96" t="s">
        <v>7</v>
      </c>
      <c r="Q19" s="97"/>
      <c r="R19" s="42"/>
      <c r="S19" s="29">
        <f>R19</f>
        <v>0</v>
      </c>
    </row>
    <row r="20" spans="2:19" ht="16.8" thickBot="1" x14ac:dyDescent="0.5">
      <c r="B20" s="132" t="s">
        <v>46</v>
      </c>
      <c r="C20" s="20" t="s">
        <v>47</v>
      </c>
      <c r="D20" s="36">
        <v>7505000</v>
      </c>
      <c r="E20" s="36">
        <v>1353512</v>
      </c>
      <c r="F20" s="37">
        <v>236138</v>
      </c>
      <c r="H20" s="20"/>
      <c r="I20" s="27"/>
      <c r="K20" s="96"/>
      <c r="L20" s="97"/>
      <c r="M20" s="30"/>
      <c r="N20" s="21"/>
      <c r="P20" s="96" t="s">
        <v>8</v>
      </c>
      <c r="Q20" s="97"/>
      <c r="R20" s="42"/>
      <c r="S20" s="29">
        <f>R20</f>
        <v>0</v>
      </c>
    </row>
    <row r="21" spans="2:19" ht="18.75" customHeight="1" thickBot="1" x14ac:dyDescent="0.5">
      <c r="B21" s="133"/>
      <c r="C21" s="20" t="s">
        <v>48</v>
      </c>
      <c r="D21" s="36"/>
      <c r="E21" s="36"/>
      <c r="F21" s="37"/>
      <c r="H21" s="32" t="s">
        <v>88</v>
      </c>
      <c r="I21" s="40">
        <f>IF($I$9="有",SUM($I$7,$I$13,$I$14,$I$15,$I$17),$I$7+$I$17)</f>
        <v>860000</v>
      </c>
      <c r="K21" s="96"/>
      <c r="L21" s="97"/>
      <c r="M21" s="30"/>
      <c r="N21" s="21"/>
      <c r="P21" s="96" t="s">
        <v>94</v>
      </c>
      <c r="Q21" s="97"/>
      <c r="R21" s="43"/>
      <c r="S21" s="31">
        <f>R21</f>
        <v>0</v>
      </c>
    </row>
    <row r="22" spans="2:19" ht="20.100000000000001" customHeight="1" thickBot="1" x14ac:dyDescent="0.5">
      <c r="B22" s="134"/>
      <c r="C22" s="72" t="s">
        <v>49</v>
      </c>
      <c r="D22" s="73"/>
      <c r="E22" s="73"/>
      <c r="F22" s="74"/>
      <c r="K22" s="117"/>
      <c r="L22" s="118"/>
      <c r="M22" s="30"/>
      <c r="N22" s="21"/>
      <c r="P22" s="117"/>
      <c r="Q22" s="118"/>
      <c r="R22" s="41"/>
      <c r="S22" s="31"/>
    </row>
    <row r="23" spans="2:19" ht="16.8" thickBot="1" x14ac:dyDescent="0.5">
      <c r="B23" s="78"/>
      <c r="C23" s="79" t="s">
        <v>77</v>
      </c>
      <c r="D23" s="75">
        <f>SUM(D8:D22)</f>
        <v>7505000</v>
      </c>
      <c r="E23" s="76">
        <f t="shared" ref="E23:F23" si="0">SUM(E8:E22)</f>
        <v>1353512</v>
      </c>
      <c r="F23" s="77">
        <f t="shared" si="0"/>
        <v>236138</v>
      </c>
      <c r="H23" s="32" t="s">
        <v>113</v>
      </c>
      <c r="I23" s="89">
        <v>156200</v>
      </c>
      <c r="K23" s="114" t="s">
        <v>106</v>
      </c>
      <c r="L23" s="115"/>
      <c r="M23" s="116"/>
      <c r="N23" s="40">
        <f>SUM(N8:N22)</f>
        <v>630000</v>
      </c>
      <c r="P23" s="114" t="s">
        <v>87</v>
      </c>
      <c r="Q23" s="115"/>
      <c r="R23" s="116"/>
      <c r="S23" s="40">
        <f>IF(SUM(S10,S12,S15)&gt;120000,120000,SUM(S10,S12,S15))+SUM(S18:S21)</f>
        <v>123940</v>
      </c>
    </row>
    <row r="25" spans="2:19" ht="15" customHeight="1" thickBot="1" x14ac:dyDescent="0.5">
      <c r="C25" s="123" t="s">
        <v>105</v>
      </c>
      <c r="D25" s="123"/>
      <c r="E25" s="123"/>
      <c r="F25" s="123"/>
      <c r="K25" s="123" t="s">
        <v>111</v>
      </c>
      <c r="L25" s="123"/>
      <c r="M25" s="123"/>
      <c r="N25" s="123"/>
      <c r="P25" s="124" t="s">
        <v>112</v>
      </c>
      <c r="Q25" s="124"/>
      <c r="R25" s="124"/>
      <c r="S25" s="124"/>
    </row>
    <row r="26" spans="2:19" ht="15" customHeight="1" x14ac:dyDescent="0.45">
      <c r="C26" s="121" t="s">
        <v>90</v>
      </c>
      <c r="D26" s="122"/>
      <c r="E26" s="119" t="s">
        <v>68</v>
      </c>
      <c r="F26" s="120"/>
      <c r="K26" s="125" t="s">
        <v>9</v>
      </c>
      <c r="L26" s="126"/>
      <c r="M26" s="61" t="s">
        <v>17</v>
      </c>
      <c r="N26" s="62" t="s">
        <v>18</v>
      </c>
      <c r="P26" s="57" t="s">
        <v>21</v>
      </c>
      <c r="Q26" s="127" t="s">
        <v>22</v>
      </c>
      <c r="R26" s="128"/>
      <c r="S26" s="129"/>
    </row>
    <row r="27" spans="2:19" ht="15" customHeight="1" x14ac:dyDescent="0.45">
      <c r="C27" s="110" t="s">
        <v>69</v>
      </c>
      <c r="D27" s="111"/>
      <c r="E27" s="111" t="s">
        <v>70</v>
      </c>
      <c r="F27" s="137"/>
      <c r="K27" s="96" t="s">
        <v>10</v>
      </c>
      <c r="L27" s="97"/>
      <c r="M27" s="58">
        <v>0.05</v>
      </c>
      <c r="N27" s="63">
        <v>0</v>
      </c>
      <c r="P27" s="49">
        <v>0.05</v>
      </c>
      <c r="Q27" s="50" t="s">
        <v>31</v>
      </c>
      <c r="R27" s="51">
        <v>0.23558000000000001</v>
      </c>
      <c r="S27" s="52" t="s">
        <v>26</v>
      </c>
    </row>
    <row r="28" spans="2:19" ht="15" customHeight="1" x14ac:dyDescent="0.45">
      <c r="C28" s="110" t="s">
        <v>71</v>
      </c>
      <c r="D28" s="111"/>
      <c r="E28" s="111" t="s">
        <v>72</v>
      </c>
      <c r="F28" s="137"/>
      <c r="K28" s="96" t="s">
        <v>11</v>
      </c>
      <c r="L28" s="97"/>
      <c r="M28" s="58">
        <v>0.1</v>
      </c>
      <c r="N28" s="63">
        <v>97500</v>
      </c>
      <c r="P28" s="49">
        <v>0.1</v>
      </c>
      <c r="Q28" s="50" t="s">
        <v>31</v>
      </c>
      <c r="R28" s="51">
        <v>0.25064999999999998</v>
      </c>
      <c r="S28" s="52" t="s">
        <v>26</v>
      </c>
    </row>
    <row r="29" spans="2:19" ht="15" customHeight="1" x14ac:dyDescent="0.45">
      <c r="C29" s="110" t="s">
        <v>73</v>
      </c>
      <c r="D29" s="111"/>
      <c r="E29" s="111" t="s">
        <v>74</v>
      </c>
      <c r="F29" s="137"/>
      <c r="K29" s="96" t="s">
        <v>13</v>
      </c>
      <c r="L29" s="97"/>
      <c r="M29" s="58">
        <v>0.2</v>
      </c>
      <c r="N29" s="63">
        <v>427500</v>
      </c>
      <c r="P29" s="49">
        <v>0.2</v>
      </c>
      <c r="Q29" s="50" t="s">
        <v>31</v>
      </c>
      <c r="R29" s="51">
        <v>0.28743000000000002</v>
      </c>
      <c r="S29" s="52" t="s">
        <v>26</v>
      </c>
    </row>
    <row r="30" spans="2:19" ht="15" customHeight="1" thickBot="1" x14ac:dyDescent="0.5">
      <c r="C30" s="112" t="s">
        <v>75</v>
      </c>
      <c r="D30" s="113"/>
      <c r="E30" s="113" t="s">
        <v>76</v>
      </c>
      <c r="F30" s="138"/>
      <c r="K30" s="96" t="s">
        <v>14</v>
      </c>
      <c r="L30" s="97"/>
      <c r="M30" s="58">
        <v>0.23</v>
      </c>
      <c r="N30" s="63">
        <v>636000</v>
      </c>
      <c r="P30" s="49">
        <v>0.23</v>
      </c>
      <c r="Q30" s="50" t="s">
        <v>31</v>
      </c>
      <c r="R30" s="51">
        <v>0.30066999999999999</v>
      </c>
      <c r="S30" s="52" t="s">
        <v>26</v>
      </c>
    </row>
    <row r="31" spans="2:19" ht="15" customHeight="1" x14ac:dyDescent="0.45">
      <c r="C31" s="124"/>
      <c r="D31" s="124"/>
      <c r="E31" s="59"/>
      <c r="F31" s="60"/>
      <c r="K31" s="96" t="s">
        <v>15</v>
      </c>
      <c r="L31" s="97"/>
      <c r="M31" s="58">
        <v>0.33</v>
      </c>
      <c r="N31" s="63">
        <v>1536000</v>
      </c>
      <c r="P31" s="49">
        <v>0.33</v>
      </c>
      <c r="Q31" s="50" t="s">
        <v>31</v>
      </c>
      <c r="R31" s="51">
        <v>0.35519000000000001</v>
      </c>
      <c r="S31" s="52" t="s">
        <v>26</v>
      </c>
    </row>
    <row r="32" spans="2:19" ht="15" customHeight="1" x14ac:dyDescent="0.45">
      <c r="C32" s="124"/>
      <c r="D32" s="124"/>
      <c r="E32" s="59"/>
      <c r="F32" s="60"/>
      <c r="K32" s="96" t="s">
        <v>16</v>
      </c>
      <c r="L32" s="97"/>
      <c r="M32" s="58">
        <v>0.4</v>
      </c>
      <c r="N32" s="63">
        <v>2796000</v>
      </c>
      <c r="P32" s="49">
        <v>0.4</v>
      </c>
      <c r="Q32" s="50" t="s">
        <v>31</v>
      </c>
      <c r="R32" s="51">
        <v>0.40683000000000002</v>
      </c>
      <c r="S32" s="52" t="s">
        <v>26</v>
      </c>
    </row>
    <row r="33" spans="11:19" ht="15" customHeight="1" thickBot="1" x14ac:dyDescent="0.5">
      <c r="K33" s="117" t="s">
        <v>12</v>
      </c>
      <c r="L33" s="118"/>
      <c r="M33" s="64">
        <v>0.45</v>
      </c>
      <c r="N33" s="65">
        <v>4796000</v>
      </c>
      <c r="P33" s="53">
        <v>0.45</v>
      </c>
      <c r="Q33" s="54" t="s">
        <v>31</v>
      </c>
      <c r="R33" s="55">
        <v>0.45396999999999998</v>
      </c>
      <c r="S33" s="56" t="s">
        <v>26</v>
      </c>
    </row>
    <row r="34" spans="11:19" ht="15" customHeight="1" x14ac:dyDescent="0.45"/>
    <row r="35" spans="11:19" ht="15" customHeight="1" x14ac:dyDescent="0.45"/>
    <row r="36" spans="11:19" ht="15" customHeight="1" x14ac:dyDescent="0.45"/>
    <row r="37" spans="11:19" ht="15" customHeight="1" x14ac:dyDescent="0.45"/>
    <row r="38" spans="11:19" ht="15" customHeight="1" x14ac:dyDescent="0.45"/>
    <row r="39" spans="11:19" ht="15" customHeight="1" x14ac:dyDescent="0.45"/>
    <row r="40" spans="11:19" ht="15" customHeight="1" x14ac:dyDescent="0.45"/>
    <row r="41" spans="11:19" ht="15" customHeight="1" x14ac:dyDescent="0.45"/>
    <row r="42" spans="11:19" ht="15" customHeight="1" x14ac:dyDescent="0.45"/>
    <row r="43" spans="11:19" ht="15" customHeight="1" x14ac:dyDescent="0.45"/>
  </sheetData>
  <mergeCells count="72">
    <mergeCell ref="K32:L32"/>
    <mergeCell ref="K33:L33"/>
    <mergeCell ref="K31:L31"/>
    <mergeCell ref="C31:D31"/>
    <mergeCell ref="C32:D32"/>
    <mergeCell ref="P23:R23"/>
    <mergeCell ref="K17:L17"/>
    <mergeCell ref="K18:L18"/>
    <mergeCell ref="K19:L19"/>
    <mergeCell ref="K20:L20"/>
    <mergeCell ref="P22:Q22"/>
    <mergeCell ref="P17:Q17"/>
    <mergeCell ref="P18:Q18"/>
    <mergeCell ref="P19:Q19"/>
    <mergeCell ref="P25:S25"/>
    <mergeCell ref="K27:L27"/>
    <mergeCell ref="K28:L28"/>
    <mergeCell ref="K26:L26"/>
    <mergeCell ref="Q26:S26"/>
    <mergeCell ref="C30:D30"/>
    <mergeCell ref="K23:M23"/>
    <mergeCell ref="K22:L22"/>
    <mergeCell ref="E26:F26"/>
    <mergeCell ref="C26:D26"/>
    <mergeCell ref="C27:D27"/>
    <mergeCell ref="K25:N25"/>
    <mergeCell ref="C25:F25"/>
    <mergeCell ref="K29:L29"/>
    <mergeCell ref="K30:L30"/>
    <mergeCell ref="E27:F27"/>
    <mergeCell ref="E28:F28"/>
    <mergeCell ref="E29:F29"/>
    <mergeCell ref="E30:F30"/>
    <mergeCell ref="M4:N4"/>
    <mergeCell ref="K21:L21"/>
    <mergeCell ref="K16:L16"/>
    <mergeCell ref="C28:D28"/>
    <mergeCell ref="C29:D29"/>
    <mergeCell ref="K10:L10"/>
    <mergeCell ref="K11:L11"/>
    <mergeCell ref="B7:C7"/>
    <mergeCell ref="B20:B22"/>
    <mergeCell ref="B8:B19"/>
    <mergeCell ref="K12:L12"/>
    <mergeCell ref="K13:L13"/>
    <mergeCell ref="K14:L14"/>
    <mergeCell ref="K15:L15"/>
    <mergeCell ref="P20:Q20"/>
    <mergeCell ref="P21:Q21"/>
    <mergeCell ref="P10:Q10"/>
    <mergeCell ref="P11:Q11"/>
    <mergeCell ref="P12:Q12"/>
    <mergeCell ref="P13:Q13"/>
    <mergeCell ref="P14:Q14"/>
    <mergeCell ref="P15:Q15"/>
    <mergeCell ref="P16:Q16"/>
    <mergeCell ref="B1:S1"/>
    <mergeCell ref="B6:F6"/>
    <mergeCell ref="P7:Q7"/>
    <mergeCell ref="P8:Q8"/>
    <mergeCell ref="P9:Q9"/>
    <mergeCell ref="F3:G3"/>
    <mergeCell ref="F4:G4"/>
    <mergeCell ref="H6:I6"/>
    <mergeCell ref="K6:N6"/>
    <mergeCell ref="P6:S6"/>
    <mergeCell ref="K7:L7"/>
    <mergeCell ref="K8:L8"/>
    <mergeCell ref="K9:L9"/>
    <mergeCell ref="I3:J3"/>
    <mergeCell ref="I4:J4"/>
    <mergeCell ref="M3:N3"/>
  </mergeCells>
  <phoneticPr fontId="1"/>
  <dataValidations count="4">
    <dataValidation type="list" showInputMessage="1" showErrorMessage="1" sqref="M8" xr:uid="{09141E70-F55D-4AB2-A2EC-428A36F23D1C}">
      <formula1>"ひとり親,寡婦,,"</formula1>
    </dataValidation>
    <dataValidation type="whole" allowBlank="1" showInputMessage="1" showErrorMessage="1" sqref="M16:M17" xr:uid="{16C8E164-4976-4A9C-9F45-7CD6F018D145}">
      <formula1>1</formula1>
      <formula2>10</formula2>
    </dataValidation>
    <dataValidation type="list" allowBlank="1" showInputMessage="1" showErrorMessage="1" sqref="I12" xr:uid="{6D280323-59AA-40CE-AA2F-A5D1427E10C2}">
      <formula1>"70歳以上,70歳未満"</formula1>
    </dataValidation>
    <dataValidation type="list" allowBlank="1" showInputMessage="1" showErrorMessage="1" sqref="I9" xr:uid="{E814FC47-25CA-456C-A523-EA5A7E19EBBE}">
      <formula1>"有,無"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EDD8-DA77-43C2-9D05-A4440C4074C6}">
  <dimension ref="A1:I28"/>
  <sheetViews>
    <sheetView topLeftCell="A7" workbookViewId="0">
      <selection activeCell="D24" sqref="D24"/>
    </sheetView>
  </sheetViews>
  <sheetFormatPr defaultRowHeight="18" x14ac:dyDescent="0.45"/>
  <cols>
    <col min="1" max="1" width="20.69921875" customWidth="1"/>
    <col min="2" max="2" width="14.69921875" customWidth="1"/>
    <col min="3" max="9" width="10.69921875" customWidth="1"/>
  </cols>
  <sheetData>
    <row r="1" spans="1:9" ht="18.600000000000001" thickBot="1" x14ac:dyDescent="0.5"/>
    <row r="2" spans="1:9" ht="22.8" thickBot="1" x14ac:dyDescent="0.5">
      <c r="C2" s="144" t="s">
        <v>20</v>
      </c>
      <c r="D2" s="90"/>
      <c r="E2" s="145"/>
      <c r="F2" s="13">
        <f>ROUNDDOWN($B$8*SUMIF($F$13:$F$19,$C$7,$H$13:$H$19)+2000,-3)</f>
        <v>56000</v>
      </c>
    </row>
    <row r="3" spans="1:9" ht="18.600000000000001" thickBot="1" x14ac:dyDescent="0.5"/>
    <row r="4" spans="1:9" ht="19.2" thickTop="1" thickBot="1" x14ac:dyDescent="0.5">
      <c r="A4" s="5" t="s">
        <v>25</v>
      </c>
      <c r="B4" s="17">
        <v>8337233</v>
      </c>
      <c r="C4" s="146" t="s">
        <v>32</v>
      </c>
      <c r="D4" s="147"/>
      <c r="E4" s="147"/>
      <c r="F4" s="147"/>
    </row>
    <row r="5" spans="1:9" ht="19.2" thickTop="1" thickBot="1" x14ac:dyDescent="0.5">
      <c r="A5" s="5" t="s">
        <v>0</v>
      </c>
      <c r="B5" s="18">
        <f>IF(B4&gt;=8500000,B4-1950000,IF(B4&gt;=6600000,B4*0.9-1100000,IF(B4&gt;=3600000,ROUNDDOWN(B4/4,-3)*3.2-440000,IF(B4&gt;=1800000,ROUNDDOWN(B4/4,-3)*2.8-80000,IF(B4&gt;=1628000,ROUNDDOWN(B4/4,-3)*2.4+100000,IF(B4&gt;=1624000,1074000,IF(B4&gt;=1622000,1072000,IF(B4&gt;=1620000,1070000,IF(B4&gt;=1619000,1069000,IF(B4&gt;=551000,B4-550000,0))))) )))))</f>
        <v>6403509.7000000002</v>
      </c>
    </row>
    <row r="6" spans="1:9" ht="19.2" thickTop="1" thickBot="1" x14ac:dyDescent="0.5">
      <c r="A6" s="5" t="s">
        <v>1</v>
      </c>
      <c r="B6" s="17">
        <v>4248501</v>
      </c>
      <c r="C6" s="146" t="s">
        <v>32</v>
      </c>
      <c r="D6" s="147"/>
      <c r="E6" s="147"/>
      <c r="F6" s="147"/>
    </row>
    <row r="7" spans="1:9" ht="18.600000000000001" thickTop="1" x14ac:dyDescent="0.45">
      <c r="A7" s="5" t="s">
        <v>3</v>
      </c>
      <c r="B7" s="16">
        <f>B5-B6</f>
        <v>2155008.7000000002</v>
      </c>
      <c r="C7" s="10">
        <f>IF($B$7&gt;39999000,0.45,IF($B$7&gt;17999000,0.4,IF($B$7&gt;8999000,0.33,IF(B7&gt;6949000,0.23,IF($B$7&gt;3299000,0.2,IF($B$7&gt;1949000,0.1))))))</f>
        <v>0.1</v>
      </c>
      <c r="D7" s="11" t="s">
        <v>24</v>
      </c>
    </row>
    <row r="8" spans="1:9" x14ac:dyDescent="0.45">
      <c r="A8" s="5" t="s">
        <v>23</v>
      </c>
      <c r="B8" s="9">
        <f>ROUNDDOWN($B$7*0.1,-2)</f>
        <v>215500</v>
      </c>
      <c r="C8" s="3"/>
      <c r="D8" s="7"/>
    </row>
    <row r="9" spans="1:9" x14ac:dyDescent="0.45">
      <c r="A9" s="5" t="s">
        <v>2</v>
      </c>
      <c r="B9" s="9">
        <f>ROUNDDOWN((IF($B$7&gt;39999000,$B$7*0.45-4796000,IF($B$7&gt;17999000,$B$7*0.4-2796000,IF($B$7&gt;8999000,B7*0.33-1536000,IF(B7&gt;6949000,B7*0.23-636000,IF($B$7&gt;3299000,$B$7*0.2-427500,IF(B7&gt;1949000,$B$7*0.1-97500,$B$7*0.05))))))*1.021),-2)</f>
        <v>120400</v>
      </c>
    </row>
    <row r="10" spans="1:9" x14ac:dyDescent="0.45">
      <c r="A10" s="3"/>
      <c r="B10" s="12"/>
    </row>
    <row r="11" spans="1:9" x14ac:dyDescent="0.45">
      <c r="A11" s="148" t="s">
        <v>27</v>
      </c>
      <c r="B11" s="148"/>
      <c r="C11" s="148"/>
      <c r="D11" s="148"/>
      <c r="F11" s="148" t="s">
        <v>28</v>
      </c>
      <c r="G11" s="148"/>
      <c r="H11" s="148"/>
      <c r="I11" s="148"/>
    </row>
    <row r="12" spans="1:9" x14ac:dyDescent="0.45">
      <c r="A12" s="139" t="s">
        <v>9</v>
      </c>
      <c r="B12" s="140"/>
      <c r="C12" s="4" t="s">
        <v>17</v>
      </c>
      <c r="D12" s="4" t="s">
        <v>18</v>
      </c>
      <c r="F12" s="4" t="s">
        <v>21</v>
      </c>
      <c r="G12" s="139" t="s">
        <v>22</v>
      </c>
      <c r="H12" s="141"/>
      <c r="I12" s="140"/>
    </row>
    <row r="13" spans="1:9" x14ac:dyDescent="0.45">
      <c r="A13" s="142" t="s">
        <v>10</v>
      </c>
      <c r="B13" s="143"/>
      <c r="C13" s="1">
        <v>0.05</v>
      </c>
      <c r="D13" s="2">
        <v>0</v>
      </c>
      <c r="F13" s="1">
        <v>0.05</v>
      </c>
      <c r="G13" s="6" t="s">
        <v>31</v>
      </c>
      <c r="H13" s="14">
        <v>0.23558000000000001</v>
      </c>
      <c r="I13" s="15" t="s">
        <v>26</v>
      </c>
    </row>
    <row r="14" spans="1:9" x14ac:dyDescent="0.45">
      <c r="A14" s="142" t="s">
        <v>11</v>
      </c>
      <c r="B14" s="143"/>
      <c r="C14" s="1">
        <v>0.1</v>
      </c>
      <c r="D14" s="2">
        <v>97500</v>
      </c>
      <c r="F14" s="1">
        <v>0.1</v>
      </c>
      <c r="G14" s="6" t="s">
        <v>31</v>
      </c>
      <c r="H14" s="14">
        <v>0.25064999999999998</v>
      </c>
      <c r="I14" s="15" t="s">
        <v>26</v>
      </c>
    </row>
    <row r="15" spans="1:9" x14ac:dyDescent="0.45">
      <c r="A15" s="142" t="s">
        <v>13</v>
      </c>
      <c r="B15" s="143"/>
      <c r="C15" s="1">
        <v>0.2</v>
      </c>
      <c r="D15" s="2">
        <v>427500</v>
      </c>
      <c r="F15" s="1">
        <v>0.2</v>
      </c>
      <c r="G15" s="6" t="s">
        <v>31</v>
      </c>
      <c r="H15" s="14">
        <v>0.28743000000000002</v>
      </c>
      <c r="I15" s="15" t="s">
        <v>26</v>
      </c>
    </row>
    <row r="16" spans="1:9" x14ac:dyDescent="0.45">
      <c r="A16" s="142" t="s">
        <v>14</v>
      </c>
      <c r="B16" s="143"/>
      <c r="C16" s="1">
        <v>0.23</v>
      </c>
      <c r="D16" s="2">
        <v>636000</v>
      </c>
      <c r="F16" s="1">
        <v>0.23</v>
      </c>
      <c r="G16" s="6" t="s">
        <v>31</v>
      </c>
      <c r="H16" s="14">
        <v>0.30066999999999999</v>
      </c>
      <c r="I16" s="15" t="s">
        <v>26</v>
      </c>
    </row>
    <row r="17" spans="1:9" x14ac:dyDescent="0.45">
      <c r="A17" s="142" t="s">
        <v>15</v>
      </c>
      <c r="B17" s="143"/>
      <c r="C17" s="1">
        <v>0.33</v>
      </c>
      <c r="D17" s="2">
        <v>1536000</v>
      </c>
      <c r="F17" s="1">
        <v>0.33</v>
      </c>
      <c r="G17" s="6" t="s">
        <v>31</v>
      </c>
      <c r="H17" s="14">
        <v>0.35519000000000001</v>
      </c>
      <c r="I17" s="15" t="s">
        <v>26</v>
      </c>
    </row>
    <row r="18" spans="1:9" x14ac:dyDescent="0.45">
      <c r="A18" s="142" t="s">
        <v>16</v>
      </c>
      <c r="B18" s="143"/>
      <c r="C18" s="1">
        <v>0.4</v>
      </c>
      <c r="D18" s="2">
        <v>2796000</v>
      </c>
      <c r="F18" s="1">
        <v>0.4</v>
      </c>
      <c r="G18" s="6" t="s">
        <v>31</v>
      </c>
      <c r="H18" s="14">
        <v>0.40683000000000002</v>
      </c>
      <c r="I18" s="15" t="s">
        <v>26</v>
      </c>
    </row>
    <row r="19" spans="1:9" x14ac:dyDescent="0.45">
      <c r="A19" s="142" t="s">
        <v>12</v>
      </c>
      <c r="B19" s="143"/>
      <c r="C19" s="1">
        <v>0.45</v>
      </c>
      <c r="D19" s="2">
        <v>4796000</v>
      </c>
      <c r="F19" s="1">
        <v>0.45</v>
      </c>
      <c r="G19" s="6" t="s">
        <v>31</v>
      </c>
      <c r="H19" s="14">
        <v>0.45396999999999998</v>
      </c>
      <c r="I19" s="15" t="s">
        <v>26</v>
      </c>
    </row>
    <row r="21" spans="1:9" x14ac:dyDescent="0.45">
      <c r="D21" s="3"/>
    </row>
    <row r="22" spans="1:9" x14ac:dyDescent="0.45">
      <c r="D22" s="8"/>
    </row>
    <row r="23" spans="1:9" x14ac:dyDescent="0.45">
      <c r="D23" s="8"/>
    </row>
    <row r="24" spans="1:9" x14ac:dyDescent="0.45">
      <c r="D24" s="8"/>
    </row>
    <row r="25" spans="1:9" x14ac:dyDescent="0.45">
      <c r="D25" s="8"/>
    </row>
    <row r="26" spans="1:9" x14ac:dyDescent="0.45">
      <c r="D26" s="8"/>
    </row>
    <row r="27" spans="1:9" x14ac:dyDescent="0.45">
      <c r="D27" s="8"/>
    </row>
    <row r="28" spans="1:9" x14ac:dyDescent="0.45">
      <c r="D28" s="8"/>
    </row>
  </sheetData>
  <mergeCells count="14">
    <mergeCell ref="A15:B15"/>
    <mergeCell ref="A16:B16"/>
    <mergeCell ref="A17:B17"/>
    <mergeCell ref="A18:B18"/>
    <mergeCell ref="A19:B19"/>
    <mergeCell ref="A12:B12"/>
    <mergeCell ref="G12:I12"/>
    <mergeCell ref="A13:B13"/>
    <mergeCell ref="A14:B14"/>
    <mergeCell ref="C2:E2"/>
    <mergeCell ref="C4:F4"/>
    <mergeCell ref="C6:F6"/>
    <mergeCell ref="A11:D11"/>
    <mergeCell ref="F11:I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Sheet4</vt:lpstr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EXCEL活用術</dc:creator>
  <cp:lastModifiedBy>司 村井</cp:lastModifiedBy>
  <dcterms:created xsi:type="dcterms:W3CDTF">2021-12-06T01:06:10Z</dcterms:created>
  <dcterms:modified xsi:type="dcterms:W3CDTF">2023-09-18T04:13:57Z</dcterms:modified>
</cp:coreProperties>
</file>